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<sst xmlns="http://schemas.openxmlformats.org/spreadsheetml/2006/main" count="138" uniqueCount="65">
  <si>
    <t>Magellan</t>
  </si>
  <si>
    <t>SOHO</t>
  </si>
  <si>
    <t>Velocity</t>
  </si>
  <si>
    <t>Doppler corrected</t>
  </si>
  <si>
    <t>DSN tracking spreadsheet by Paul M0EYT</t>
  </si>
  <si>
    <t>(MHz)</t>
  </si>
  <si>
    <t xml:space="preserve"> (KM/s)</t>
  </si>
  <si>
    <t xml:space="preserve">DSN </t>
  </si>
  <si>
    <t>Channel</t>
  </si>
  <si>
    <t xml:space="preserve">Spacecraft TX </t>
  </si>
  <si>
    <t>frequency (MHz)</t>
  </si>
  <si>
    <t>Doppler shift</t>
  </si>
  <si>
    <t>(KHz)</t>
  </si>
  <si>
    <t>doppler adjust</t>
  </si>
  <si>
    <t>add 5KHz</t>
  </si>
  <si>
    <t>corrected freq</t>
  </si>
  <si>
    <t>Tuning Freq</t>
  </si>
  <si>
    <t>Kepler http://kepler.nasa.gov/</t>
  </si>
  <si>
    <t xml:space="preserve">Info </t>
  </si>
  <si>
    <t>OK ?</t>
  </si>
  <si>
    <t>Comments</t>
  </si>
  <si>
    <t>Mars Pathfinder / Cassini</t>
  </si>
  <si>
    <t>Launch Date</t>
  </si>
  <si>
    <t>Voyager -31-32 / Stardust -29</t>
  </si>
  <si>
    <t>Spitzer space telescope -79</t>
  </si>
  <si>
    <t>Pioneer -24 / -23</t>
  </si>
  <si>
    <t>Mission Name / JPL Horizons ID</t>
  </si>
  <si>
    <t>Rosetta -226</t>
  </si>
  <si>
    <t>Mars Odyssey -53 (Mars 499)</t>
  </si>
  <si>
    <t>Venus Exp -248 (Venus 299)</t>
  </si>
  <si>
    <t>Mars Exp -41 (Mars 499) / Voyager -31 -32</t>
  </si>
  <si>
    <t>Giotto -78</t>
  </si>
  <si>
    <t>Mars RO -74 (Mars 499)</t>
  </si>
  <si>
    <t>NEAR -93</t>
  </si>
  <si>
    <t>Y</t>
  </si>
  <si>
    <t>DD/MM/YYYY</t>
  </si>
  <si>
    <t>Other satellites:</t>
  </si>
  <si>
    <t>NASA LRO</t>
  </si>
  <si>
    <t>Chandrayaan-1</t>
  </si>
  <si>
    <t>NASA JUNO Jupiter mission (Aug 2011 launch)</t>
  </si>
  <si>
    <t>Hayabasu -130 / Ulysees -55 / Muses-C</t>
  </si>
  <si>
    <t>Chang'e'1 - EOL Lunar impact</t>
  </si>
  <si>
    <t>Smart -1 - EOL Lunar impact</t>
  </si>
  <si>
    <t>DAWN / EPOXI (-140)</t>
  </si>
  <si>
    <t>Herschel (-486)</t>
  </si>
  <si>
    <t>Mercury Messenger (-236)</t>
  </si>
  <si>
    <t>New Horizons noncoherent (-98)</t>
  </si>
  <si>
    <t>New Horizons coherent (-98)</t>
  </si>
  <si>
    <t>New Horizons coherent (new -98)</t>
  </si>
  <si>
    <t>STEREO A (-234)</t>
  </si>
  <si>
    <t>STEREO B (-235)+A16</t>
  </si>
  <si>
    <t>MGS (Mars 499) MISSION ENDED</t>
  </si>
  <si>
    <t>Phoenix Lander MISSION ENDED</t>
  </si>
  <si>
    <t>Planck (-489)</t>
  </si>
  <si>
    <t>NASA Grail lunar mission</t>
  </si>
  <si>
    <t>LRO Ka</t>
  </si>
  <si>
    <t>LRO S</t>
  </si>
  <si>
    <t>Mars Science Lab - Autumn 2011 launch</t>
  </si>
  <si>
    <t>JAXA / Selene - EOL Lunar impact</t>
  </si>
  <si>
    <t>100.833333 ref</t>
  </si>
  <si>
    <t>Heard?</t>
  </si>
  <si>
    <t>Unitec-1</t>
  </si>
  <si>
    <t>N</t>
  </si>
  <si>
    <t>Planet-C / Pioneer -24 / -23</t>
  </si>
  <si>
    <t>Ikaros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</si>
</sst>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"/>
    <numFmt numFmtId="172" formatCode="0_ ;\-0\ "/>
    <numFmt numFmtId="173" formatCode="[$-809]dd\ mmmm\ yyyy"/>
    <numFmt numFmtId="174" formatCode="[$-809]dd\ mmmm\ yyyy;@"/>
    <numFmt numFmtId="175" formatCode="dd/mm/yyyy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15" borderId="0" xfId="0" applyFont="1" applyFill="1" applyAlignment="1">
      <alignment/>
    </xf>
    <xf numFmtId="0" fontId="2" fillId="15" borderId="0" xfId="0" applyFont="1" applyFill="1" applyAlignment="1">
      <alignment horizontal="center"/>
    </xf>
    <xf numFmtId="164" fontId="2" fillId="15" borderId="0" xfId="0" applyNumberFormat="1" applyFont="1" applyFill="1" applyAlignment="1">
      <alignment horizontal="center"/>
    </xf>
    <xf numFmtId="0" fontId="0" fillId="4" borderId="0" xfId="0" applyFont="1" applyFill="1" applyAlignment="1">
      <alignment/>
    </xf>
    <xf numFmtId="164" fontId="0" fillId="22" borderId="0" xfId="0" applyNumberFormat="1" applyFill="1" applyAlignment="1">
      <alignment/>
    </xf>
    <xf numFmtId="0" fontId="2" fillId="22" borderId="0" xfId="0" applyFont="1" applyFill="1" applyAlignment="1">
      <alignment horizontal="center"/>
    </xf>
    <xf numFmtId="164" fontId="2" fillId="22" borderId="0" xfId="0" applyNumberFormat="1" applyFont="1" applyFill="1" applyAlignment="1">
      <alignment horizontal="center"/>
    </xf>
    <xf numFmtId="164" fontId="0" fillId="2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24" borderId="0" xfId="0" applyNumberFormat="1" applyFill="1" applyAlignment="1">
      <alignment horizontal="center"/>
    </xf>
    <xf numFmtId="22" fontId="0" fillId="4" borderId="0" xfId="0" applyNumberFormat="1" applyFont="1" applyFill="1" applyAlignment="1">
      <alignment horizontal="left"/>
    </xf>
    <xf numFmtId="170" fontId="0" fillId="0" borderId="0" xfId="0" applyNumberFormat="1" applyAlignment="1">
      <alignment horizontal="center"/>
    </xf>
    <xf numFmtId="164" fontId="3" fillId="24" borderId="0" xfId="0" applyNumberFormat="1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172" fontId="2" fillId="15" borderId="0" xfId="0" applyNumberFormat="1" applyFont="1" applyFill="1" applyAlignment="1">
      <alignment horizontal="center"/>
    </xf>
    <xf numFmtId="172" fontId="0" fillId="4" borderId="0" xfId="0" applyNumberFormat="1" applyFont="1" applyFill="1" applyAlignment="1">
      <alignment horizontal="center"/>
    </xf>
    <xf numFmtId="172" fontId="0" fillId="0" borderId="0" xfId="0" applyNumberFormat="1" applyFont="1" applyAlignment="1">
      <alignment horizontal="center"/>
    </xf>
    <xf numFmtId="175" fontId="2" fillId="15" borderId="0" xfId="0" applyNumberFormat="1" applyFont="1" applyFill="1" applyAlignment="1">
      <alignment horizontal="center"/>
    </xf>
    <xf numFmtId="175" fontId="0" fillId="22" borderId="0" xfId="0" applyNumberFormat="1" applyFill="1" applyAlignment="1">
      <alignment/>
    </xf>
    <xf numFmtId="175" fontId="0" fillId="0" borderId="0" xfId="0" applyNumberFormat="1" applyAlignment="1">
      <alignment/>
    </xf>
    <xf numFmtId="170" fontId="0" fillId="22" borderId="0" xfId="0" applyNumberFormat="1" applyFill="1" applyAlignment="1">
      <alignment horizontal="center"/>
    </xf>
    <xf numFmtId="0" fontId="0" fillId="24" borderId="0" xfId="0" applyFont="1" applyFill="1" applyAlignment="1">
      <alignment/>
    </xf>
    <xf numFmtId="172" fontId="0" fillId="24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175" fontId="0" fillId="24" borderId="0" xfId="0" applyNumberFormat="1" applyFill="1" applyAlignment="1">
      <alignment horizontal="center"/>
    </xf>
    <xf numFmtId="164" fontId="0" fillId="24" borderId="0" xfId="0" applyNumberFormat="1" applyFont="1" applyFill="1" applyAlignment="1">
      <alignment horizontal="center"/>
    </xf>
    <xf numFmtId="164" fontId="0" fillId="7" borderId="0" xfId="0" applyNumberFormat="1" applyFont="1" applyFill="1" applyAlignment="1">
      <alignment horizontal="center"/>
    </xf>
    <xf numFmtId="164" fontId="0" fillId="22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70" fontId="0" fillId="22" borderId="0" xfId="0" applyNumberFormat="1" applyFont="1" applyFill="1" applyAlignment="1">
      <alignment horizontal="center"/>
    </xf>
    <xf numFmtId="170" fontId="0" fillId="0" borderId="0" xfId="0" applyNumberFormat="1" applyFont="1" applyAlignment="1">
      <alignment horizontal="center"/>
    </xf>
    <xf numFmtId="0" fontId="0" fillId="24" borderId="0" xfId="0" applyFill="1" applyAlignment="1">
      <alignment horizontal="center"/>
    </xf>
    <xf numFmtId="164" fontId="0" fillId="24" borderId="0" xfId="0" applyNumberFormat="1" applyFill="1" applyAlignment="1">
      <alignment/>
    </xf>
    <xf numFmtId="164" fontId="0" fillId="24" borderId="0" xfId="0" applyNumberFormat="1" applyFont="1" applyFill="1" applyAlignment="1">
      <alignment/>
    </xf>
    <xf numFmtId="170" fontId="0" fillId="24" borderId="0" xfId="0" applyNumberFormat="1" applyFont="1" applyFill="1" applyAlignment="1">
      <alignment horizontal="center"/>
    </xf>
    <xf numFmtId="164" fontId="0" fillId="7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41.140625" style="1" bestFit="1" customWidth="1"/>
    <col min="2" max="2" width="5.421875" style="20" bestFit="1" customWidth="1"/>
    <col min="3" max="3" width="8.57421875" style="2" bestFit="1" customWidth="1"/>
    <col min="4" max="4" width="15.7109375" style="11" bestFit="1" customWidth="1"/>
    <col min="5" max="5" width="10.57421875" style="32" customWidth="1"/>
    <col min="6" max="6" width="17.57421875" style="32" bestFit="1" customWidth="1"/>
    <col min="7" max="7" width="12.421875" style="32" bestFit="1" customWidth="1"/>
    <col min="8" max="8" width="12.00390625" style="33" bestFit="1" customWidth="1"/>
    <col min="9" max="9" width="12.57421875" style="0" bestFit="1" customWidth="1"/>
    <col min="10" max="10" width="12.00390625" style="23" customWidth="1"/>
    <col min="11" max="11" width="9.140625" style="2" customWidth="1"/>
  </cols>
  <sheetData>
    <row r="1" spans="1:11" ht="12.75">
      <c r="A1" s="3" t="s">
        <v>4</v>
      </c>
      <c r="B1" s="18" t="s">
        <v>18</v>
      </c>
      <c r="C1" s="4" t="s">
        <v>7</v>
      </c>
      <c r="D1" s="5" t="s">
        <v>9</v>
      </c>
      <c r="E1" s="5" t="s">
        <v>2</v>
      </c>
      <c r="F1" s="5" t="s">
        <v>3</v>
      </c>
      <c r="G1" s="5" t="s">
        <v>11</v>
      </c>
      <c r="H1" s="5" t="s">
        <v>16</v>
      </c>
      <c r="I1" s="5" t="s">
        <v>20</v>
      </c>
      <c r="J1" s="21" t="s">
        <v>22</v>
      </c>
      <c r="K1" s="4" t="s">
        <v>60</v>
      </c>
    </row>
    <row r="2" spans="1:11" ht="12.75">
      <c r="A2" s="3" t="s">
        <v>26</v>
      </c>
      <c r="B2" s="18" t="s">
        <v>19</v>
      </c>
      <c r="C2" s="4" t="s">
        <v>8</v>
      </c>
      <c r="D2" s="5" t="s">
        <v>10</v>
      </c>
      <c r="E2" s="5" t="s">
        <v>6</v>
      </c>
      <c r="F2" s="5" t="s">
        <v>5</v>
      </c>
      <c r="G2" s="5" t="s">
        <v>12</v>
      </c>
      <c r="H2" s="5" t="s">
        <v>5</v>
      </c>
      <c r="I2" s="5"/>
      <c r="J2" s="21" t="s">
        <v>35</v>
      </c>
      <c r="K2" s="4"/>
    </row>
    <row r="3" spans="1:11" ht="12.75">
      <c r="A3" s="13">
        <f ca="1">NOW()</f>
        <v>40422.66471493056</v>
      </c>
      <c r="B3" s="19"/>
      <c r="C3" s="8">
        <v>3</v>
      </c>
      <c r="D3" s="9">
        <v>8400.061729</v>
      </c>
      <c r="E3" s="29">
        <v>0</v>
      </c>
      <c r="F3" s="30">
        <f>((D3*(299792.458-E3))/299792.458)</f>
        <v>8400.061729</v>
      </c>
      <c r="G3" s="30">
        <f aca="true" t="shared" si="0" ref="G3:G11">SUM((F3-D3)*1000)</f>
        <v>0</v>
      </c>
      <c r="H3" s="31"/>
      <c r="I3" s="12"/>
      <c r="J3" s="22"/>
      <c r="K3" s="36"/>
    </row>
    <row r="4" spans="1:11" ht="12.75">
      <c r="A4" s="13" t="s">
        <v>57</v>
      </c>
      <c r="B4" s="19" t="s">
        <v>34</v>
      </c>
      <c r="C4" s="8">
        <v>4</v>
      </c>
      <c r="D4" s="9">
        <v>8401.419752</v>
      </c>
      <c r="E4" s="29">
        <v>0</v>
      </c>
      <c r="F4" s="30">
        <f aca="true" t="shared" si="1" ref="F4:F53">((D4*(299792.458-E4))/299792.458)</f>
        <v>8401.419752</v>
      </c>
      <c r="G4" s="30">
        <f t="shared" si="0"/>
        <v>0</v>
      </c>
      <c r="H4" s="31"/>
      <c r="I4" s="12"/>
      <c r="J4" s="22">
        <v>39295</v>
      </c>
      <c r="K4" s="36"/>
    </row>
    <row r="5" spans="1:11" ht="12.75">
      <c r="A5" s="6"/>
      <c r="B5" s="19"/>
      <c r="C5" s="8">
        <v>4</v>
      </c>
      <c r="D5" s="9">
        <v>8401.5777</v>
      </c>
      <c r="E5" s="29">
        <v>5.5917118</v>
      </c>
      <c r="F5" s="30">
        <f t="shared" si="1"/>
        <v>8401.420994252707</v>
      </c>
      <c r="G5" s="30">
        <f t="shared" si="0"/>
        <v>-156.70574729301734</v>
      </c>
      <c r="H5" s="31"/>
      <c r="I5" s="12"/>
      <c r="J5" s="22"/>
      <c r="K5" s="36"/>
    </row>
    <row r="6" spans="1:11" ht="12.75">
      <c r="A6" s="13" t="s">
        <v>52</v>
      </c>
      <c r="B6" s="19" t="s">
        <v>34</v>
      </c>
      <c r="C6" s="8">
        <v>5</v>
      </c>
      <c r="D6" s="9">
        <v>8402.7777</v>
      </c>
      <c r="E6" s="29">
        <v>5.5436511</v>
      </c>
      <c r="F6" s="30">
        <f t="shared" si="1"/>
        <v>8402.622318946886</v>
      </c>
      <c r="G6" s="30">
        <f t="shared" si="0"/>
        <v>-155.3810531149793</v>
      </c>
      <c r="H6" s="31">
        <f>SUM(F6-0.008)</f>
        <v>8402.614318946886</v>
      </c>
      <c r="I6" s="12"/>
      <c r="J6" s="22"/>
      <c r="K6" s="36" t="s">
        <v>34</v>
      </c>
    </row>
    <row r="7" spans="1:11" ht="12.75">
      <c r="A7" s="6"/>
      <c r="B7" s="19"/>
      <c r="C7" s="8">
        <v>6</v>
      </c>
      <c r="D7" s="9">
        <v>8403.9777</v>
      </c>
      <c r="E7" s="29">
        <v>5.624661</v>
      </c>
      <c r="F7" s="30">
        <f t="shared" si="1"/>
        <v>8403.82002583458</v>
      </c>
      <c r="G7" s="30">
        <f t="shared" si="0"/>
        <v>-157.67416541893908</v>
      </c>
      <c r="H7" s="31"/>
      <c r="I7" s="12"/>
      <c r="J7" s="22">
        <v>39295</v>
      </c>
      <c r="K7" s="36"/>
    </row>
    <row r="8" spans="1:11" ht="12.75">
      <c r="A8" s="6" t="s">
        <v>39</v>
      </c>
      <c r="B8" s="19" t="s">
        <v>34</v>
      </c>
      <c r="C8" s="8">
        <v>6</v>
      </c>
      <c r="D8" s="9">
        <v>8404.135802</v>
      </c>
      <c r="E8" s="29">
        <v>0</v>
      </c>
      <c r="F8" s="30">
        <f t="shared" si="1"/>
        <v>8404.135802</v>
      </c>
      <c r="G8" s="30">
        <f t="shared" si="0"/>
        <v>0</v>
      </c>
      <c r="H8" s="31"/>
      <c r="I8" s="12"/>
      <c r="J8" s="22"/>
      <c r="K8" s="36"/>
    </row>
    <row r="9" spans="1:11" ht="12.75">
      <c r="A9" s="6" t="s">
        <v>39</v>
      </c>
      <c r="B9" s="19"/>
      <c r="C9" s="8"/>
      <c r="D9" s="9">
        <v>32085.93</v>
      </c>
      <c r="E9" s="29">
        <f>(E8)</f>
        <v>0</v>
      </c>
      <c r="F9" s="30">
        <f>((D9*(299792.458-E9))/299792.458)</f>
        <v>32085.93</v>
      </c>
      <c r="G9" s="30">
        <f t="shared" si="0"/>
        <v>0</v>
      </c>
      <c r="H9" s="31">
        <f>SUM(34200-F9)</f>
        <v>2114.0699999999997</v>
      </c>
      <c r="I9" s="12">
        <f>SUM(F9/320)</f>
        <v>100.26853125</v>
      </c>
      <c r="J9" s="22"/>
      <c r="K9" s="36"/>
    </row>
    <row r="10" spans="1:11" ht="12.75">
      <c r="A10" s="6"/>
      <c r="B10" s="19"/>
      <c r="C10" s="8">
        <v>7</v>
      </c>
      <c r="D10" s="9">
        <v>8405.493825</v>
      </c>
      <c r="E10" s="29">
        <v>0</v>
      </c>
      <c r="F10" s="30">
        <f t="shared" si="1"/>
        <v>8405.493825</v>
      </c>
      <c r="G10" s="30">
        <f t="shared" si="0"/>
        <v>0</v>
      </c>
      <c r="H10" s="31"/>
      <c r="I10" s="12"/>
      <c r="J10" s="22"/>
      <c r="K10" s="36"/>
    </row>
    <row r="11" spans="1:11" ht="12.75">
      <c r="A11" s="6" t="s">
        <v>28</v>
      </c>
      <c r="B11" s="19" t="s">
        <v>34</v>
      </c>
      <c r="C11" s="8">
        <v>8</v>
      </c>
      <c r="D11" s="9">
        <v>8406.851853</v>
      </c>
      <c r="E11" s="15">
        <v>15.0797011</v>
      </c>
      <c r="F11" s="30">
        <f t="shared" si="1"/>
        <v>8406.428984412907</v>
      </c>
      <c r="G11" s="30">
        <f t="shared" si="0"/>
        <v>-422.8685870930349</v>
      </c>
      <c r="H11" s="31"/>
      <c r="I11" s="12"/>
      <c r="J11" s="22">
        <v>36988</v>
      </c>
      <c r="K11" s="36" t="s">
        <v>34</v>
      </c>
    </row>
    <row r="12" spans="1:11" ht="12.75">
      <c r="A12" s="6" t="s">
        <v>40</v>
      </c>
      <c r="B12" s="19" t="s">
        <v>34</v>
      </c>
      <c r="C12" s="8">
        <v>9</v>
      </c>
      <c r="D12" s="9">
        <v>8408.209877</v>
      </c>
      <c r="E12" s="29">
        <v>-4.6648338</v>
      </c>
      <c r="F12" s="30">
        <f t="shared" si="1"/>
        <v>8408.340710516939</v>
      </c>
      <c r="G12" s="30">
        <f aca="true" t="shared" si="2" ref="G12:G53">SUM((F12-D12)*1000)</f>
        <v>130.83351693967415</v>
      </c>
      <c r="H12" s="31">
        <f>(F12-0.001)</f>
        <v>8408.339710516939</v>
      </c>
      <c r="I12" s="12"/>
      <c r="J12" s="22">
        <v>37750</v>
      </c>
      <c r="K12" s="36" t="s">
        <v>62</v>
      </c>
    </row>
    <row r="13" spans="1:11" ht="12.75">
      <c r="A13" s="6"/>
      <c r="B13" s="19"/>
      <c r="C13" s="8">
        <v>10</v>
      </c>
      <c r="D13" s="9">
        <v>8409.567903</v>
      </c>
      <c r="E13" s="29">
        <v>0</v>
      </c>
      <c r="F13" s="30">
        <f t="shared" si="1"/>
        <v>8409.567903</v>
      </c>
      <c r="G13" s="30">
        <f t="shared" si="2"/>
        <v>0</v>
      </c>
      <c r="H13" s="31"/>
      <c r="I13" s="12"/>
      <c r="J13" s="22"/>
      <c r="K13" s="36"/>
    </row>
    <row r="14" spans="1:11" ht="12.75">
      <c r="A14" s="6" t="s">
        <v>63</v>
      </c>
      <c r="B14" s="19"/>
      <c r="C14" s="8">
        <v>11</v>
      </c>
      <c r="D14" s="9">
        <v>8410.925927</v>
      </c>
      <c r="E14" s="29">
        <v>4.2616425</v>
      </c>
      <c r="F14" s="30">
        <f t="shared" si="1"/>
        <v>8410.806363086906</v>
      </c>
      <c r="G14" s="30">
        <f t="shared" si="2"/>
        <v>-119.56391309468017</v>
      </c>
      <c r="H14" s="31"/>
      <c r="I14" s="12"/>
      <c r="J14" s="22"/>
      <c r="K14" s="36"/>
    </row>
    <row r="15" spans="1:11" ht="12.75">
      <c r="A15" s="6" t="s">
        <v>25</v>
      </c>
      <c r="B15" s="19"/>
      <c r="C15" s="8">
        <v>12</v>
      </c>
      <c r="D15" s="9">
        <v>8412.28395</v>
      </c>
      <c r="E15" s="29">
        <v>0</v>
      </c>
      <c r="F15" s="30">
        <f t="shared" si="1"/>
        <v>8412.28395</v>
      </c>
      <c r="G15" s="30">
        <f t="shared" si="2"/>
        <v>0</v>
      </c>
      <c r="H15" s="31"/>
      <c r="I15" s="12"/>
      <c r="J15" s="22"/>
      <c r="K15" s="36"/>
    </row>
    <row r="16" spans="1:11" ht="12.75">
      <c r="A16" s="6" t="s">
        <v>24</v>
      </c>
      <c r="B16" s="19" t="s">
        <v>34</v>
      </c>
      <c r="C16" s="8">
        <v>13</v>
      </c>
      <c r="D16" s="9">
        <v>8413.62649</v>
      </c>
      <c r="E16" s="29">
        <v>-0.5326819</v>
      </c>
      <c r="F16" s="30">
        <f t="shared" si="1"/>
        <v>8413.641439630737</v>
      </c>
      <c r="G16" s="30">
        <f t="shared" si="2"/>
        <v>14.949630736737163</v>
      </c>
      <c r="H16" s="31"/>
      <c r="I16" s="12"/>
      <c r="J16" s="22">
        <v>37858</v>
      </c>
      <c r="K16" s="36" t="s">
        <v>34</v>
      </c>
    </row>
    <row r="17" spans="1:11" ht="12.75">
      <c r="A17" s="6"/>
      <c r="B17" s="19"/>
      <c r="C17" s="8">
        <v>13</v>
      </c>
      <c r="D17" s="9">
        <v>8413.641977</v>
      </c>
      <c r="E17" s="29">
        <v>0</v>
      </c>
      <c r="F17" s="30">
        <f t="shared" si="1"/>
        <v>8413.641977</v>
      </c>
      <c r="G17" s="30">
        <f t="shared" si="2"/>
        <v>0</v>
      </c>
      <c r="H17" s="31"/>
      <c r="I17" s="12"/>
      <c r="J17" s="22"/>
      <c r="K17" s="36"/>
    </row>
    <row r="18" spans="1:11" ht="12.75">
      <c r="A18" s="6" t="s">
        <v>23</v>
      </c>
      <c r="B18" s="19" t="s">
        <v>34</v>
      </c>
      <c r="C18" s="8">
        <v>14</v>
      </c>
      <c r="D18" s="9">
        <v>8415</v>
      </c>
      <c r="E18" s="29">
        <v>18.8511223</v>
      </c>
      <c r="F18" s="30">
        <f t="shared" si="1"/>
        <v>8414.470859956875</v>
      </c>
      <c r="G18" s="30">
        <f t="shared" si="2"/>
        <v>-529.1400431251532</v>
      </c>
      <c r="H18" s="31"/>
      <c r="I18" s="12"/>
      <c r="J18" s="22"/>
      <c r="K18" s="36" t="s">
        <v>62</v>
      </c>
    </row>
    <row r="19" spans="1:11" ht="12.75">
      <c r="A19" s="6"/>
      <c r="B19" s="19"/>
      <c r="C19" s="8">
        <v>15</v>
      </c>
      <c r="D19" s="9">
        <v>8416.358023</v>
      </c>
      <c r="E19" s="29">
        <v>0</v>
      </c>
      <c r="F19" s="30">
        <f t="shared" si="1"/>
        <v>8416.358023</v>
      </c>
      <c r="G19" s="30">
        <f t="shared" si="2"/>
        <v>0</v>
      </c>
      <c r="H19" s="31"/>
      <c r="I19" s="12"/>
      <c r="J19" s="22"/>
      <c r="K19" s="36"/>
    </row>
    <row r="20" spans="1:11" ht="12.75">
      <c r="A20" s="6"/>
      <c r="B20" s="19"/>
      <c r="C20" s="8">
        <v>16</v>
      </c>
      <c r="D20" s="9">
        <v>8417.71605</v>
      </c>
      <c r="E20" s="29">
        <v>0</v>
      </c>
      <c r="F20" s="30">
        <f t="shared" si="1"/>
        <v>8417.71605</v>
      </c>
      <c r="G20" s="30">
        <f t="shared" si="2"/>
        <v>0</v>
      </c>
      <c r="H20" s="31"/>
      <c r="I20" s="12"/>
      <c r="J20" s="22"/>
      <c r="K20" s="36"/>
    </row>
    <row r="21" spans="1:11" ht="12.75">
      <c r="A21" s="6" t="s">
        <v>29</v>
      </c>
      <c r="B21" s="19" t="s">
        <v>34</v>
      </c>
      <c r="C21" s="8">
        <v>17</v>
      </c>
      <c r="D21" s="9">
        <v>8419.074073</v>
      </c>
      <c r="E21" s="15">
        <v>-4.8999943</v>
      </c>
      <c r="F21" s="30">
        <f t="shared" si="1"/>
        <v>8419.211679580378</v>
      </c>
      <c r="G21" s="30">
        <f t="shared" si="2"/>
        <v>137.60658037790563</v>
      </c>
      <c r="H21" s="31">
        <f>F21+0.005</f>
        <v>8419.216679580377</v>
      </c>
      <c r="I21" s="12" t="s">
        <v>14</v>
      </c>
      <c r="J21" s="22">
        <v>38665</v>
      </c>
      <c r="K21" s="36" t="s">
        <v>34</v>
      </c>
    </row>
    <row r="22" spans="1:11" ht="12.75">
      <c r="A22" s="6" t="s">
        <v>30</v>
      </c>
      <c r="B22" s="19" t="s">
        <v>34</v>
      </c>
      <c r="C22" s="8">
        <v>18</v>
      </c>
      <c r="D22" s="9">
        <v>8420.432097</v>
      </c>
      <c r="E22" s="15">
        <v>15.0797011</v>
      </c>
      <c r="F22" s="30">
        <f t="shared" si="1"/>
        <v>8420.008545320274</v>
      </c>
      <c r="G22" s="30">
        <f t="shared" si="2"/>
        <v>-423.5516797270975</v>
      </c>
      <c r="H22" s="31">
        <f>SUM(F22-0.077)</f>
        <v>8419.931545320274</v>
      </c>
      <c r="I22" s="12" t="s">
        <v>13</v>
      </c>
      <c r="J22" s="22">
        <v>37774</v>
      </c>
      <c r="K22" s="36" t="s">
        <v>34</v>
      </c>
    </row>
    <row r="23" spans="1:11" ht="12.75">
      <c r="A23" s="6" t="s">
        <v>27</v>
      </c>
      <c r="B23" s="19" t="s">
        <v>34</v>
      </c>
      <c r="C23" s="8">
        <v>19</v>
      </c>
      <c r="D23" s="9">
        <v>8421.790123</v>
      </c>
      <c r="E23" s="16">
        <v>23.2986537</v>
      </c>
      <c r="F23" s="30">
        <f t="shared" si="1"/>
        <v>8421.13561563541</v>
      </c>
      <c r="G23" s="30">
        <f t="shared" si="2"/>
        <v>-654.5073645902448</v>
      </c>
      <c r="H23" s="31">
        <f>SUM(F23-0.003)</f>
        <v>8421.13261563541</v>
      </c>
      <c r="I23" s="12" t="s">
        <v>15</v>
      </c>
      <c r="J23" s="22">
        <v>38048</v>
      </c>
      <c r="K23" s="36" t="s">
        <v>34</v>
      </c>
    </row>
    <row r="24" spans="1:11" ht="12.75">
      <c r="A24" s="6"/>
      <c r="B24" s="19"/>
      <c r="C24" s="8"/>
      <c r="D24" s="9">
        <v>2296.851</v>
      </c>
      <c r="E24" s="16">
        <f>E23</f>
        <v>23.2986537</v>
      </c>
      <c r="F24" s="30">
        <f t="shared" si="1"/>
        <v>2296.6724980576682</v>
      </c>
      <c r="G24" s="30">
        <f t="shared" si="2"/>
        <v>-178.50194233187722</v>
      </c>
      <c r="H24" s="31"/>
      <c r="I24" s="12"/>
      <c r="J24" s="22"/>
      <c r="K24" s="36"/>
    </row>
    <row r="25" spans="1:11" ht="12.75">
      <c r="A25" s="6"/>
      <c r="B25" s="19"/>
      <c r="C25" s="8">
        <v>20</v>
      </c>
      <c r="D25" s="9">
        <v>8423.148147</v>
      </c>
      <c r="E25" s="29">
        <v>0</v>
      </c>
      <c r="F25" s="30">
        <f t="shared" si="1"/>
        <v>8423.148147</v>
      </c>
      <c r="G25" s="30">
        <f t="shared" si="2"/>
        <v>0</v>
      </c>
      <c r="H25" s="31"/>
      <c r="I25" s="12"/>
      <c r="J25" s="22"/>
      <c r="K25" s="36"/>
    </row>
    <row r="26" spans="1:11" ht="12.75">
      <c r="A26" s="6" t="s">
        <v>51</v>
      </c>
      <c r="B26" s="19" t="s">
        <v>34</v>
      </c>
      <c r="C26" s="8">
        <v>20</v>
      </c>
      <c r="D26" s="9">
        <v>8423.177</v>
      </c>
      <c r="E26" s="29">
        <v>-4.9243495</v>
      </c>
      <c r="F26" s="30">
        <f>((D26*(299792.458-E26))/299792.458)</f>
        <v>8423.315357941774</v>
      </c>
      <c r="G26" s="30">
        <f>SUM((F26-D26)*1000)</f>
        <v>138.35794177430216</v>
      </c>
      <c r="H26" s="31"/>
      <c r="I26" s="12"/>
      <c r="J26" s="22">
        <v>35376</v>
      </c>
      <c r="K26" s="36" t="s">
        <v>34</v>
      </c>
    </row>
    <row r="27" spans="1:11" ht="12.75">
      <c r="A27" s="6" t="s">
        <v>17</v>
      </c>
      <c r="B27" s="19" t="s">
        <v>34</v>
      </c>
      <c r="C27" s="8">
        <v>21</v>
      </c>
      <c r="D27" s="9">
        <v>8424.5061</v>
      </c>
      <c r="E27" s="29">
        <v>1.2005076</v>
      </c>
      <c r="F27" s="30">
        <f t="shared" si="1"/>
        <v>8424.472364382811</v>
      </c>
      <c r="G27" s="30">
        <f t="shared" si="2"/>
        <v>-33.73561718944984</v>
      </c>
      <c r="H27" s="31"/>
      <c r="I27" s="12"/>
      <c r="J27" s="22"/>
      <c r="K27" s="36" t="s">
        <v>34</v>
      </c>
    </row>
    <row r="28" spans="1:11" ht="12.75">
      <c r="A28" s="6" t="s">
        <v>17</v>
      </c>
      <c r="B28" s="19" t="s">
        <v>34</v>
      </c>
      <c r="C28" s="8"/>
      <c r="D28" s="9">
        <v>32166.29</v>
      </c>
      <c r="E28" s="29">
        <f>(E27)</f>
        <v>1.2005076</v>
      </c>
      <c r="F28" s="30">
        <f t="shared" si="1"/>
        <v>32166.161191303927</v>
      </c>
      <c r="G28" s="30">
        <f t="shared" si="2"/>
        <v>-128.80869607397472</v>
      </c>
      <c r="H28" s="31">
        <f>SUM(34200-F28)</f>
        <v>2033.838808696073</v>
      </c>
      <c r="I28" s="12">
        <f>SUM(F28/320)</f>
        <v>100.51925372282477</v>
      </c>
      <c r="J28" s="22"/>
      <c r="K28" s="36" t="s">
        <v>34</v>
      </c>
    </row>
    <row r="29" spans="1:11" ht="12.75">
      <c r="A29" s="6"/>
      <c r="B29" s="19"/>
      <c r="C29" s="8">
        <v>22</v>
      </c>
      <c r="D29" s="9">
        <v>8425.6811</v>
      </c>
      <c r="E29" s="29">
        <v>0</v>
      </c>
      <c r="F29" s="30">
        <f>((D29*(299792.458-E29))/299792.458)</f>
        <v>8425.6811</v>
      </c>
      <c r="G29" s="30">
        <f>SUM((F29-D29)*1000)</f>
        <v>0</v>
      </c>
      <c r="H29" s="31">
        <f>SUM(H28-0.005)</f>
        <v>2033.833808696073</v>
      </c>
      <c r="I29" s="12"/>
      <c r="J29" s="22">
        <v>39722</v>
      </c>
      <c r="K29" s="36"/>
    </row>
    <row r="30" spans="1:11" ht="12.75">
      <c r="A30" s="6" t="s">
        <v>0</v>
      </c>
      <c r="B30" s="19"/>
      <c r="C30" s="8">
        <v>22</v>
      </c>
      <c r="D30" s="9">
        <v>8425.864198</v>
      </c>
      <c r="E30" s="29">
        <v>0</v>
      </c>
      <c r="F30" s="30">
        <f>((D30*(299792.458-E30))/299792.458)</f>
        <v>8425.864198</v>
      </c>
      <c r="G30" s="30">
        <f>SUM((F30-D30)*1000)</f>
        <v>0</v>
      </c>
      <c r="H30" s="31"/>
      <c r="I30" s="12"/>
      <c r="J30" s="22"/>
      <c r="K30" s="36" t="s">
        <v>62</v>
      </c>
    </row>
    <row r="31" spans="1:11" ht="12.75">
      <c r="A31" s="6" t="s">
        <v>21</v>
      </c>
      <c r="B31" s="19"/>
      <c r="C31" s="8">
        <v>23</v>
      </c>
      <c r="D31" s="9">
        <v>8427.222221</v>
      </c>
      <c r="E31" s="29">
        <v>10.3934492</v>
      </c>
      <c r="F31" s="30">
        <f t="shared" si="1"/>
        <v>8426.930059193677</v>
      </c>
      <c r="G31" s="30">
        <f t="shared" si="2"/>
        <v>-292.16180632283795</v>
      </c>
      <c r="H31" s="31"/>
      <c r="I31" s="12"/>
      <c r="J31" s="22"/>
      <c r="K31" s="36" t="s">
        <v>62</v>
      </c>
    </row>
    <row r="32" spans="1:11" ht="12.75">
      <c r="A32" s="6" t="s">
        <v>31</v>
      </c>
      <c r="B32" s="19"/>
      <c r="C32" s="8">
        <v>24</v>
      </c>
      <c r="D32" s="9">
        <v>8428.580248</v>
      </c>
      <c r="E32" s="29">
        <v>0</v>
      </c>
      <c r="F32" s="30">
        <f t="shared" si="1"/>
        <v>8428.580248</v>
      </c>
      <c r="G32" s="30">
        <f t="shared" si="2"/>
        <v>0</v>
      </c>
      <c r="H32" s="31"/>
      <c r="I32" s="12"/>
      <c r="J32" s="22"/>
      <c r="K32" s="36" t="s">
        <v>62</v>
      </c>
    </row>
    <row r="33" spans="1:11" ht="12.75">
      <c r="A33" s="6" t="s">
        <v>21</v>
      </c>
      <c r="B33" s="19"/>
      <c r="C33" s="8">
        <v>25</v>
      </c>
      <c r="D33" s="9">
        <v>8429.938271</v>
      </c>
      <c r="E33" s="29">
        <v>10.3982597</v>
      </c>
      <c r="F33" s="30">
        <f t="shared" si="1"/>
        <v>8429.645879763806</v>
      </c>
      <c r="G33" s="30">
        <f t="shared" si="2"/>
        <v>-292.3912361948169</v>
      </c>
      <c r="H33" s="31"/>
      <c r="I33" s="12"/>
      <c r="J33" s="22"/>
      <c r="K33" s="36" t="s">
        <v>62</v>
      </c>
    </row>
    <row r="34" spans="1:11" ht="12.75">
      <c r="A34" s="6" t="s">
        <v>64</v>
      </c>
      <c r="B34" s="19"/>
      <c r="C34" s="8">
        <v>26</v>
      </c>
      <c r="D34" s="9">
        <v>8431.296295</v>
      </c>
      <c r="E34" s="29">
        <v>4.2616425</v>
      </c>
      <c r="F34" s="30">
        <f t="shared" si="1"/>
        <v>8431.176441515825</v>
      </c>
      <c r="G34" s="30">
        <f t="shared" si="2"/>
        <v>-119.85348417510977</v>
      </c>
      <c r="H34" s="31"/>
      <c r="I34" s="12"/>
      <c r="J34" s="22"/>
      <c r="K34" s="36"/>
    </row>
    <row r="35" spans="1:11" ht="12.75">
      <c r="A35" s="6" t="s">
        <v>45</v>
      </c>
      <c r="B35" s="19" t="s">
        <v>34</v>
      </c>
      <c r="C35" s="8">
        <v>27</v>
      </c>
      <c r="D35" s="9">
        <v>8432.654321</v>
      </c>
      <c r="E35" s="29">
        <v>10.8670093</v>
      </c>
      <c r="F35" s="30">
        <f t="shared" si="1"/>
        <v>8432.348650425292</v>
      </c>
      <c r="G35" s="30">
        <f t="shared" si="2"/>
        <v>-305.6705747076194</v>
      </c>
      <c r="H35" s="31"/>
      <c r="I35" s="12"/>
      <c r="J35" s="22"/>
      <c r="K35" s="36" t="s">
        <v>62</v>
      </c>
    </row>
    <row r="36" spans="1:11" ht="12.75">
      <c r="A36" s="6"/>
      <c r="B36" s="19"/>
      <c r="C36" s="8">
        <v>28</v>
      </c>
      <c r="D36" s="9">
        <v>8434.012345</v>
      </c>
      <c r="E36" s="29">
        <v>0</v>
      </c>
      <c r="F36" s="30">
        <f t="shared" si="1"/>
        <v>8434.012345</v>
      </c>
      <c r="G36" s="30">
        <f t="shared" si="2"/>
        <v>0</v>
      </c>
      <c r="H36" s="31"/>
      <c r="I36" s="12"/>
      <c r="J36" s="22"/>
      <c r="K36" s="36"/>
    </row>
    <row r="37" spans="1:11" ht="12.75">
      <c r="A37" s="6" t="s">
        <v>43</v>
      </c>
      <c r="B37" s="19"/>
      <c r="C37" s="8">
        <v>29</v>
      </c>
      <c r="D37" s="9">
        <v>8435.370372</v>
      </c>
      <c r="E37" s="29">
        <v>10.3651598</v>
      </c>
      <c r="F37" s="30">
        <f t="shared" si="1"/>
        <v>8435.078723696166</v>
      </c>
      <c r="G37" s="30">
        <f t="shared" si="2"/>
        <v>-291.6483038334263</v>
      </c>
      <c r="H37" s="31"/>
      <c r="I37" s="12"/>
      <c r="J37" s="22"/>
      <c r="K37" s="36" t="s">
        <v>34</v>
      </c>
    </row>
    <row r="38" spans="1:11" ht="12.75">
      <c r="A38" s="6"/>
      <c r="B38" s="19"/>
      <c r="C38" s="8">
        <v>30</v>
      </c>
      <c r="D38" s="9">
        <v>8436.728395</v>
      </c>
      <c r="E38" s="29">
        <v>0</v>
      </c>
      <c r="F38" s="30">
        <f t="shared" si="1"/>
        <v>8436.728395</v>
      </c>
      <c r="G38" s="30">
        <f t="shared" si="2"/>
        <v>0</v>
      </c>
      <c r="H38" s="31"/>
      <c r="I38" s="12"/>
      <c r="J38" s="22"/>
      <c r="K38" s="36"/>
    </row>
    <row r="39" spans="1:11" ht="12.75">
      <c r="A39" s="6" t="s">
        <v>46</v>
      </c>
      <c r="B39" s="19" t="s">
        <v>34</v>
      </c>
      <c r="C39" s="8">
        <v>30</v>
      </c>
      <c r="D39" s="9">
        <v>8437.894737</v>
      </c>
      <c r="E39" s="29">
        <v>45.4232798</v>
      </c>
      <c r="F39" s="30">
        <f>((D39*(299792.458-E39))/299792.458)</f>
        <v>8436.616263031314</v>
      </c>
      <c r="G39" s="30">
        <f>SUM((F39-D39)*1000)</f>
        <v>-1278.4739686867397</v>
      </c>
      <c r="H39" s="31"/>
      <c r="I39" s="12"/>
      <c r="J39" s="22"/>
      <c r="K39" s="36" t="s">
        <v>34</v>
      </c>
    </row>
    <row r="40" spans="1:11" ht="12.75">
      <c r="A40" s="6" t="s">
        <v>33</v>
      </c>
      <c r="B40" s="19"/>
      <c r="C40" s="8">
        <v>31</v>
      </c>
      <c r="D40" s="9">
        <v>8438.086418</v>
      </c>
      <c r="E40" s="29">
        <v>0</v>
      </c>
      <c r="F40" s="30">
        <f t="shared" si="1"/>
        <v>8438.086418</v>
      </c>
      <c r="G40" s="30">
        <f t="shared" si="2"/>
        <v>0</v>
      </c>
      <c r="H40" s="31"/>
      <c r="I40" s="12"/>
      <c r="J40" s="22"/>
      <c r="K40" s="36"/>
    </row>
    <row r="41" spans="1:11" ht="12.75">
      <c r="A41" s="6" t="s">
        <v>47</v>
      </c>
      <c r="B41" s="19" t="s">
        <v>34</v>
      </c>
      <c r="C41" s="8">
        <v>31</v>
      </c>
      <c r="D41" s="9">
        <v>8438.181818</v>
      </c>
      <c r="E41" s="29">
        <v>45.4232798</v>
      </c>
      <c r="F41" s="30">
        <f>((D41*(299792.458-E41))/299792.458)</f>
        <v>8436.903300534019</v>
      </c>
      <c r="G41" s="30">
        <f>SUM((F41-D41)*1000)</f>
        <v>-1278.5174659802578</v>
      </c>
      <c r="H41" s="31"/>
      <c r="I41" s="12"/>
      <c r="J41" s="22">
        <v>38736</v>
      </c>
      <c r="K41" s="36" t="s">
        <v>34</v>
      </c>
    </row>
    <row r="42" spans="1:11" ht="12.75">
      <c r="A42" s="6" t="s">
        <v>48</v>
      </c>
      <c r="B42" s="19" t="s">
        <v>34</v>
      </c>
      <c r="C42" s="8">
        <v>31</v>
      </c>
      <c r="D42" s="9">
        <v>8438.243</v>
      </c>
      <c r="E42" s="29">
        <v>45.4232798</v>
      </c>
      <c r="F42" s="30">
        <f>((D42*(299792.458-E42))/299792.458)</f>
        <v>8436.964473263983</v>
      </c>
      <c r="G42" s="30">
        <f>SUM((F42-D42)*1000)</f>
        <v>-1278.5267360177386</v>
      </c>
      <c r="H42" s="31"/>
      <c r="I42" s="12"/>
      <c r="J42" s="22">
        <v>38736</v>
      </c>
      <c r="K42" s="36" t="s">
        <v>34</v>
      </c>
    </row>
    <row r="43" spans="1:11" ht="12.75">
      <c r="A43" s="6" t="s">
        <v>32</v>
      </c>
      <c r="B43" s="19" t="s">
        <v>34</v>
      </c>
      <c r="C43" s="8">
        <v>32</v>
      </c>
      <c r="D43" s="9">
        <v>8439.444446</v>
      </c>
      <c r="E43" s="15">
        <v>7.3552427</v>
      </c>
      <c r="F43" s="30">
        <f t="shared" si="1"/>
        <v>8439.23738888266</v>
      </c>
      <c r="G43" s="30">
        <f t="shared" si="2"/>
        <v>-207.0571173389908</v>
      </c>
      <c r="H43" s="31"/>
      <c r="I43" s="12"/>
      <c r="J43" s="22"/>
      <c r="K43" s="36" t="s">
        <v>34</v>
      </c>
    </row>
    <row r="44" spans="1:11" ht="12.75">
      <c r="A44" s="6" t="s">
        <v>32</v>
      </c>
      <c r="B44" s="19" t="s">
        <v>34</v>
      </c>
      <c r="C44" s="8"/>
      <c r="D44" s="9">
        <v>32223.33</v>
      </c>
      <c r="E44" s="29">
        <f>(E43)</f>
        <v>7.3552427</v>
      </c>
      <c r="F44" s="30">
        <f>((D44*(299792.458-E44))/299792.458)</f>
        <v>32222.53941836118</v>
      </c>
      <c r="G44" s="30">
        <f>SUM((F44-D44)*1000)</f>
        <v>-790.5816388229141</v>
      </c>
      <c r="H44" s="31">
        <f>SUM(34200-F44)</f>
        <v>1977.4605816388212</v>
      </c>
      <c r="I44" s="12">
        <f>SUM(F44/320)</f>
        <v>100.69543568237869</v>
      </c>
      <c r="J44" s="22"/>
      <c r="K44" s="36"/>
    </row>
    <row r="45" spans="1:11" ht="12.75">
      <c r="A45" s="6"/>
      <c r="B45" s="19"/>
      <c r="C45" s="8">
        <v>33</v>
      </c>
      <c r="D45" s="9">
        <v>8440.802469</v>
      </c>
      <c r="E45" s="29">
        <v>0</v>
      </c>
      <c r="F45" s="30">
        <f t="shared" si="1"/>
        <v>8440.802469</v>
      </c>
      <c r="G45" s="30">
        <f t="shared" si="2"/>
        <v>0</v>
      </c>
      <c r="H45" s="31"/>
      <c r="I45" s="12"/>
      <c r="J45" s="22"/>
      <c r="K45" s="36"/>
    </row>
    <row r="46" spans="1:11" ht="12.75">
      <c r="A46" s="6"/>
      <c r="B46" s="19"/>
      <c r="C46" s="8">
        <v>34</v>
      </c>
      <c r="D46" s="9">
        <v>8442.160493</v>
      </c>
      <c r="E46" s="29">
        <v>0</v>
      </c>
      <c r="F46" s="30">
        <f t="shared" si="1"/>
        <v>8442.160493</v>
      </c>
      <c r="G46" s="30">
        <f t="shared" si="2"/>
        <v>0</v>
      </c>
      <c r="H46" s="31"/>
      <c r="I46" s="12"/>
      <c r="J46" s="22"/>
      <c r="K46" s="36"/>
    </row>
    <row r="47" spans="1:11" ht="12.75">
      <c r="A47" s="6" t="s">
        <v>49</v>
      </c>
      <c r="B47" s="19" t="s">
        <v>34</v>
      </c>
      <c r="C47" s="8">
        <v>35</v>
      </c>
      <c r="D47" s="9">
        <v>8443.51852</v>
      </c>
      <c r="E47" s="29">
        <v>1.5590549</v>
      </c>
      <c r="F47" s="30">
        <f t="shared" si="1"/>
        <v>8443.474609926312</v>
      </c>
      <c r="G47" s="30">
        <f t="shared" si="2"/>
        <v>-43.91007368758437</v>
      </c>
      <c r="H47" s="31">
        <f>SUM(F47+0.0014)</f>
        <v>8443.476009926311</v>
      </c>
      <c r="I47" s="17"/>
      <c r="J47" s="22"/>
      <c r="K47" s="36" t="s">
        <v>34</v>
      </c>
    </row>
    <row r="48" spans="1:11" ht="12.75">
      <c r="A48" s="6"/>
      <c r="B48" s="19"/>
      <c r="C48" s="8">
        <v>36</v>
      </c>
      <c r="D48" s="9">
        <v>8444.876543</v>
      </c>
      <c r="E48" s="29">
        <v>0</v>
      </c>
      <c r="F48" s="30">
        <f t="shared" si="1"/>
        <v>8444.876543</v>
      </c>
      <c r="G48" s="30">
        <f t="shared" si="2"/>
        <v>0</v>
      </c>
      <c r="H48" s="31"/>
      <c r="I48" s="12"/>
      <c r="J48" s="22"/>
      <c r="K48" s="36"/>
    </row>
    <row r="49" spans="1:11" ht="12.75">
      <c r="A49" s="6" t="s">
        <v>50</v>
      </c>
      <c r="B49" s="19" t="s">
        <v>34</v>
      </c>
      <c r="C49" s="8">
        <v>37</v>
      </c>
      <c r="D49" s="9">
        <v>8446.23457</v>
      </c>
      <c r="E49" s="29">
        <v>-0.229944</v>
      </c>
      <c r="F49" s="30">
        <f t="shared" si="1"/>
        <v>8446.241048351641</v>
      </c>
      <c r="G49" s="30">
        <f t="shared" si="2"/>
        <v>6.478351640907931</v>
      </c>
      <c r="H49" s="31">
        <f>SUM(F49-0.0073)</f>
        <v>8446.233748351642</v>
      </c>
      <c r="I49" s="17"/>
      <c r="J49" s="22"/>
      <c r="K49" s="36" t="s">
        <v>34</v>
      </c>
    </row>
    <row r="50" spans="1:11" ht="12.75">
      <c r="A50" s="6" t="s">
        <v>54</v>
      </c>
      <c r="B50" s="19" t="s">
        <v>34</v>
      </c>
      <c r="C50" s="8"/>
      <c r="D50" s="9">
        <v>8451.6</v>
      </c>
      <c r="E50" s="29">
        <v>0</v>
      </c>
      <c r="F50" s="30">
        <f t="shared" si="1"/>
        <v>8451.6</v>
      </c>
      <c r="G50" s="30">
        <f t="shared" si="2"/>
        <v>0</v>
      </c>
      <c r="H50" s="31"/>
      <c r="I50" s="17"/>
      <c r="J50" s="22"/>
      <c r="K50" s="36"/>
    </row>
    <row r="51" spans="1:11" ht="12.75">
      <c r="A51" s="6" t="s">
        <v>54</v>
      </c>
      <c r="B51" s="19" t="s">
        <v>34</v>
      </c>
      <c r="C51" s="8"/>
      <c r="D51" s="9">
        <v>8451.8</v>
      </c>
      <c r="E51" s="29">
        <v>0</v>
      </c>
      <c r="F51" s="30">
        <f t="shared" si="1"/>
        <v>8451.8</v>
      </c>
      <c r="G51" s="30">
        <f t="shared" si="2"/>
        <v>0</v>
      </c>
      <c r="H51" s="31"/>
      <c r="I51" s="17"/>
      <c r="J51" s="22"/>
      <c r="K51" s="36"/>
    </row>
    <row r="52" spans="1:11" ht="12.75">
      <c r="A52" s="6" t="s">
        <v>54</v>
      </c>
      <c r="B52" s="19" t="s">
        <v>34</v>
      </c>
      <c r="C52" s="8"/>
      <c r="D52" s="9">
        <v>32702.98</v>
      </c>
      <c r="E52" s="29">
        <v>0</v>
      </c>
      <c r="F52" s="30">
        <f t="shared" si="1"/>
        <v>32702.98</v>
      </c>
      <c r="G52" s="30">
        <f t="shared" si="2"/>
        <v>0</v>
      </c>
      <c r="H52" s="31"/>
      <c r="I52" s="17"/>
      <c r="J52" s="22"/>
      <c r="K52" s="36"/>
    </row>
    <row r="53" spans="1:11" ht="12.75">
      <c r="A53" s="6" t="s">
        <v>54</v>
      </c>
      <c r="B53" s="19" t="s">
        <v>34</v>
      </c>
      <c r="C53" s="8"/>
      <c r="D53" s="9">
        <v>32703.65</v>
      </c>
      <c r="E53" s="29">
        <v>0</v>
      </c>
      <c r="F53" s="30">
        <f t="shared" si="1"/>
        <v>32703.649999999998</v>
      </c>
      <c r="G53" s="30">
        <f t="shared" si="2"/>
        <v>-3.637978807091713E-09</v>
      </c>
      <c r="H53" s="31"/>
      <c r="I53" s="17"/>
      <c r="J53" s="22"/>
      <c r="K53" s="36"/>
    </row>
    <row r="54" spans="1:11" ht="12.75">
      <c r="A54" s="6" t="s">
        <v>53</v>
      </c>
      <c r="B54" s="19" t="s">
        <v>34</v>
      </c>
      <c r="C54" s="8"/>
      <c r="D54" s="9">
        <v>8455</v>
      </c>
      <c r="E54" s="29">
        <v>1.3197851</v>
      </c>
      <c r="F54" s="30">
        <f>((D54*(299792.458-E54))/299792.458)</f>
        <v>8454.962778306382</v>
      </c>
      <c r="G54" s="30">
        <f>SUM((F54-D54)*1000)</f>
        <v>-37.22169361753913</v>
      </c>
      <c r="H54" s="31">
        <f>SUM(F54-0.028)</f>
        <v>8454.934778306382</v>
      </c>
      <c r="I54" s="17"/>
      <c r="J54" s="22"/>
      <c r="K54" s="36" t="s">
        <v>34</v>
      </c>
    </row>
    <row r="55" spans="1:11" ht="12.75">
      <c r="A55" s="6" t="s">
        <v>44</v>
      </c>
      <c r="B55" s="19" t="s">
        <v>34</v>
      </c>
      <c r="C55" s="8"/>
      <c r="D55" s="9">
        <v>8468.5</v>
      </c>
      <c r="E55" s="29">
        <v>1.3197851</v>
      </c>
      <c r="F55" s="30">
        <f>((D55*(299792.458-E55))/299792.458)</f>
        <v>8468.462718874938</v>
      </c>
      <c r="G55" s="30">
        <f>SUM((F55-D55)*1000)</f>
        <v>-37.281125061781495</v>
      </c>
      <c r="H55" s="31">
        <f>SUM(F55-0.008)</f>
        <v>8468.454718874938</v>
      </c>
      <c r="I55" s="17"/>
      <c r="J55" s="22"/>
      <c r="K55" s="36" t="s">
        <v>34</v>
      </c>
    </row>
    <row r="56" ht="12.75">
      <c r="A56" s="27" t="s">
        <v>36</v>
      </c>
    </row>
    <row r="57" spans="1:11" ht="12.75">
      <c r="A57" s="25" t="s">
        <v>61</v>
      </c>
      <c r="B57" s="26" t="s">
        <v>34</v>
      </c>
      <c r="C57" s="10"/>
      <c r="D57" s="10">
        <v>5840</v>
      </c>
      <c r="E57" s="29">
        <v>4.2616719</v>
      </c>
      <c r="F57" s="30">
        <f>((D57*(299792.458-E57))/299792.458)</f>
        <v>5839.916982021289</v>
      </c>
      <c r="G57" s="30">
        <f>SUM((F57-D57)*1000)</f>
        <v>-83.01797871081362</v>
      </c>
      <c r="H57" s="31">
        <f>(F57-5616)</f>
        <v>223.9169820212892</v>
      </c>
      <c r="I57" s="37"/>
      <c r="J57" s="22"/>
      <c r="K57" s="36"/>
    </row>
    <row r="58" spans="1:11" ht="12.75">
      <c r="A58" s="25" t="s">
        <v>42</v>
      </c>
      <c r="B58" s="26" t="s">
        <v>34</v>
      </c>
      <c r="C58" s="10"/>
      <c r="D58" s="10">
        <v>8453</v>
      </c>
      <c r="E58" s="29"/>
      <c r="F58" s="30"/>
      <c r="G58" s="30"/>
      <c r="H58" s="31">
        <v>2235.1</v>
      </c>
      <c r="I58" s="37"/>
      <c r="J58" s="22"/>
      <c r="K58" s="36" t="s">
        <v>34</v>
      </c>
    </row>
    <row r="59" spans="1:11" ht="12.75">
      <c r="A59" s="25" t="s">
        <v>1</v>
      </c>
      <c r="B59" s="26"/>
      <c r="C59" s="10"/>
      <c r="D59" s="10"/>
      <c r="E59" s="29"/>
      <c r="F59" s="30"/>
      <c r="G59" s="30"/>
      <c r="H59" s="31">
        <v>2245</v>
      </c>
      <c r="I59" s="37"/>
      <c r="J59" s="22"/>
      <c r="K59" s="36" t="s">
        <v>34</v>
      </c>
    </row>
    <row r="60" spans="1:11" ht="12.75">
      <c r="A60" s="25" t="s">
        <v>58</v>
      </c>
      <c r="B60" s="28" t="s">
        <v>34</v>
      </c>
      <c r="C60" s="7"/>
      <c r="D60" s="10">
        <v>8488.507</v>
      </c>
      <c r="E60" s="38"/>
      <c r="F60" s="40"/>
      <c r="G60" s="40"/>
      <c r="H60" s="31">
        <v>2263.602</v>
      </c>
      <c r="I60" s="37"/>
      <c r="J60" s="22"/>
      <c r="K60" s="36" t="s">
        <v>34</v>
      </c>
    </row>
    <row r="61" spans="1:11" ht="12.75">
      <c r="A61" s="25" t="s">
        <v>41</v>
      </c>
      <c r="B61" s="28" t="s">
        <v>34</v>
      </c>
      <c r="C61" s="7"/>
      <c r="D61" s="10">
        <v>8460</v>
      </c>
      <c r="E61" s="38"/>
      <c r="F61" s="40"/>
      <c r="G61" s="40"/>
      <c r="H61" s="31">
        <v>2234.52</v>
      </c>
      <c r="I61" s="37"/>
      <c r="J61" s="22"/>
      <c r="K61" s="36" t="s">
        <v>34</v>
      </c>
    </row>
    <row r="62" spans="1:11" ht="12.75">
      <c r="A62" s="25" t="s">
        <v>37</v>
      </c>
      <c r="B62" s="28" t="s">
        <v>34</v>
      </c>
      <c r="C62" s="7"/>
      <c r="D62" s="10">
        <v>25650</v>
      </c>
      <c r="E62" s="38"/>
      <c r="F62" s="40"/>
      <c r="G62" s="40"/>
      <c r="H62" s="31">
        <v>2271.2</v>
      </c>
      <c r="I62" s="37"/>
      <c r="J62" s="22"/>
      <c r="K62" s="36" t="s">
        <v>34</v>
      </c>
    </row>
    <row r="63" spans="1:11" ht="12.75">
      <c r="A63" s="25" t="s">
        <v>38</v>
      </c>
      <c r="B63" s="26" t="s">
        <v>34</v>
      </c>
      <c r="C63" s="24"/>
      <c r="D63" s="10">
        <v>8484</v>
      </c>
      <c r="E63" s="39"/>
      <c r="F63" s="40"/>
      <c r="G63" s="30"/>
      <c r="H63" s="34">
        <v>2238.8</v>
      </c>
      <c r="I63" s="37"/>
      <c r="J63" s="22"/>
      <c r="K63" s="36" t="s">
        <v>34</v>
      </c>
    </row>
    <row r="64" spans="3:6" ht="12.75">
      <c r="C64" s="14"/>
      <c r="D64" s="14"/>
      <c r="E64" s="35"/>
      <c r="F64" s="35"/>
    </row>
    <row r="65" spans="1:11" ht="12.75">
      <c r="A65" s="6" t="s">
        <v>56</v>
      </c>
      <c r="B65" s="19" t="s">
        <v>34</v>
      </c>
      <c r="C65" s="8"/>
      <c r="D65" s="9">
        <v>2271.2</v>
      </c>
      <c r="E65" s="29">
        <v>-5.3</v>
      </c>
      <c r="F65" s="30">
        <f>((D65*(299792.458-E65))/299792.458)</f>
        <v>2271.2401523109693</v>
      </c>
      <c r="G65" s="30">
        <f>SUM((F65-D65)*1000)</f>
        <v>40.152310969460814</v>
      </c>
      <c r="H65" s="31"/>
      <c r="I65" s="17"/>
      <c r="J65" s="22"/>
      <c r="K65" s="36" t="s">
        <v>34</v>
      </c>
    </row>
    <row r="66" spans="1:11" ht="12.75">
      <c r="A66" s="6" t="s">
        <v>55</v>
      </c>
      <c r="B66" s="19" t="s">
        <v>34</v>
      </c>
      <c r="C66" s="8"/>
      <c r="D66" s="9">
        <v>25650</v>
      </c>
      <c r="E66" s="29">
        <v>-5</v>
      </c>
      <c r="F66" s="30">
        <f>((D66*(299792.458-E66))/299792.458)</f>
        <v>25650.42779595209</v>
      </c>
      <c r="G66" s="30">
        <f>SUM((F66-D66)*1000)</f>
        <v>427.795952091401</v>
      </c>
      <c r="H66" s="31">
        <f>SUM(F66-24200)</f>
        <v>1450.4277959520914</v>
      </c>
      <c r="I66" s="17" t="s">
        <v>59</v>
      </c>
      <c r="J66" s="22"/>
      <c r="K66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DSN tracking sheet</dc:title>
  <dc:subject/>
  <dc:creator>Paul M0EYT</dc:creator>
  <cp:keywords/>
  <dc:description/>
  <cp:lastModifiedBy>ibmuser</cp:lastModifiedBy>
  <dcterms:created xsi:type="dcterms:W3CDTF">2005-12-07T16:35:06Z</dcterms:created>
  <dcterms:modified xsi:type="dcterms:W3CDTF">2010-09-02T07:37:12Z</dcterms:modified>
  <cp:category/>
  <cp:version/>
  <cp:contentType/>
  <cp:contentStatus/>
</cp:coreProperties>
</file>